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339ce91a40bf479/Controle/DARF/"/>
    </mc:Choice>
  </mc:AlternateContent>
  <xr:revisionPtr revIDLastSave="251" documentId="8_{7D59CF22-35A5-41EF-AF8C-9B3C87E9A712}" xr6:coauthVersionLast="47" xr6:coauthVersionMax="47" xr10:uidLastSave="{F048ADA2-C4E5-44F1-AB1C-B11A4FFFE35A}"/>
  <bookViews>
    <workbookView xWindow="22944" yWindow="0" windowWidth="23232" windowHeight="25296" xr2:uid="{11112A8A-1D33-4F16-A7B6-6875A178EAA0}"/>
  </bookViews>
  <sheets>
    <sheet name="Modelo" sheetId="1" r:id="rId1"/>
  </sheets>
  <definedNames>
    <definedName name="ap_1">Modelo!$E$31</definedName>
    <definedName name="ap_2">Modelo!$N$31</definedName>
    <definedName name="peso_imp">Modelo!$U$8</definedName>
    <definedName name="peso_pgbl">Modelo!$U$9</definedName>
    <definedName name="rest_tot">Modelo!$U$6</definedName>
    <definedName name="solver_adj" localSheetId="0" hidden="1">Modelo!$E$31,Modelo!$N$31,Modelo!$E$34,Modelo!$E$42,Modelo!$N$42</definedName>
    <definedName name="solver_cvg" localSheetId="0" hidden="1">0.0001</definedName>
    <definedName name="solver_drv" localSheetId="0" hidden="1">2</definedName>
    <definedName name="solver_eng" localSheetId="0" hidden="1">3</definedName>
    <definedName name="solver_est" localSheetId="0" hidden="1">1</definedName>
    <definedName name="solver_itr" localSheetId="0" hidden="1">2147483647</definedName>
    <definedName name="solver_lhs1" localSheetId="0" hidden="1">Modelo!$E$42</definedName>
    <definedName name="solver_lhs10" localSheetId="0" hidden="1">Modelo!$E$42</definedName>
    <definedName name="solver_lhs11" localSheetId="0" hidden="1">Modelo!$E$34</definedName>
    <definedName name="solver_lhs12" localSheetId="0" hidden="1">Modelo!$E$34</definedName>
    <definedName name="solver_lhs13" localSheetId="0" hidden="1">Modelo!$E$34</definedName>
    <definedName name="solver_lhs2" localSheetId="0" hidden="1">Modelo!$N$31</definedName>
    <definedName name="solver_lhs3" localSheetId="0" hidden="1">Modelo!$N$31</definedName>
    <definedName name="solver_lhs4" localSheetId="0" hidden="1">Modelo!$E$31</definedName>
    <definedName name="solver_lhs5" localSheetId="0" hidden="1">Modelo!$E$31</definedName>
    <definedName name="solver_lhs6" localSheetId="0" hidden="1">Modelo!$N$42</definedName>
    <definedName name="solver_lhs7" localSheetId="0" hidden="1">Modelo!$N$42</definedName>
    <definedName name="solver_lhs8" localSheetId="0" hidden="1">Modelo!$N$42</definedName>
    <definedName name="solver_lhs9" localSheetId="0" hidden="1">Modelo!$E$42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13</definedName>
    <definedName name="solver_nwt" localSheetId="0" hidden="1">1</definedName>
    <definedName name="solver_opt" localSheetId="0" hidden="1">Modelo!$U$14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4</definedName>
    <definedName name="solver_rel11" localSheetId="0" hidden="1">1</definedName>
    <definedName name="solver_rel12" localSheetId="0" hidden="1">4</definedName>
    <definedName name="solver_rel13" localSheetId="0" hidden="1">3</definedName>
    <definedName name="solver_rel2" localSheetId="0" hidden="1">3</definedName>
    <definedName name="solver_rel3" localSheetId="0" hidden="1">1</definedName>
    <definedName name="solver_rel4" localSheetId="0" hidden="1">3</definedName>
    <definedName name="solver_rel5" localSheetId="0" hidden="1">1</definedName>
    <definedName name="solver_rel6" localSheetId="0" hidden="1">4</definedName>
    <definedName name="solver_rel7" localSheetId="0" hidden="1">3</definedName>
    <definedName name="solver_rel8" localSheetId="0" hidden="1">1</definedName>
    <definedName name="solver_rel9" localSheetId="0" hidden="1">3</definedName>
    <definedName name="solver_rhs1" localSheetId="0" hidden="1">1</definedName>
    <definedName name="solver_rhs10" localSheetId="0" hidden="1">"número inteiro"</definedName>
    <definedName name="solver_rhs11" localSheetId="0" hidden="1">1</definedName>
    <definedName name="solver_rhs12" localSheetId="0" hidden="1">"número inteiro"</definedName>
    <definedName name="solver_rhs13" localSheetId="0" hidden="1">0</definedName>
    <definedName name="solver_rhs2" localSheetId="0" hidden="1">0</definedName>
    <definedName name="solver_rhs3" localSheetId="0" hidden="1">Modelo!$U$12</definedName>
    <definedName name="solver_rhs4" localSheetId="0" hidden="1">0</definedName>
    <definedName name="solver_rhs5" localSheetId="0" hidden="1">Modelo!$U$11</definedName>
    <definedName name="solver_rhs6" localSheetId="0" hidden="1">"número inteiro"</definedName>
    <definedName name="solver_rhs7" localSheetId="0" hidden="1">0</definedName>
    <definedName name="solver_rhs8" localSheetId="0" hidden="1">1</definedName>
    <definedName name="solver_rhs9" localSheetId="0" hidden="1">0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N77" i="1" l="1"/>
  <c r="E77" i="1"/>
  <c r="N66" i="1"/>
  <c r="E66" i="1" l="1"/>
  <c r="N25" i="1" l="1"/>
  <c r="C17" i="1" l="1"/>
  <c r="I17" i="1"/>
  <c r="G17" i="1"/>
  <c r="R17" i="1"/>
  <c r="C58" i="1"/>
  <c r="C57" i="1"/>
  <c r="C56" i="1"/>
  <c r="E51" i="1" l="1"/>
  <c r="K34" i="1"/>
  <c r="B34" i="1"/>
  <c r="N34" i="1"/>
  <c r="M17" i="1" l="1"/>
  <c r="D17" i="1" l="1"/>
  <c r="E35" i="1" l="1"/>
  <c r="Y20" i="1" l="1"/>
  <c r="Y19" i="1"/>
  <c r="Y18" i="1"/>
  <c r="Y17" i="1"/>
  <c r="Y15" i="1"/>
  <c r="Y14" i="1"/>
  <c r="Y12" i="1"/>
  <c r="Y11" i="1"/>
  <c r="Y10" i="1"/>
  <c r="Y9" i="1"/>
  <c r="Y8" i="1"/>
  <c r="Y7" i="1"/>
  <c r="Y6" i="1"/>
  <c r="Y5" i="1"/>
  <c r="Y4" i="1"/>
  <c r="E79" i="1" l="1"/>
  <c r="F17" i="1" l="1"/>
  <c r="E17" i="1" l="1"/>
  <c r="E46" i="1" s="1"/>
  <c r="Q17" i="1" l="1"/>
  <c r="E28" i="1"/>
  <c r="T25" i="1"/>
  <c r="T23" i="1"/>
  <c r="T24" i="1"/>
  <c r="T22" i="1"/>
  <c r="U21" i="1"/>
  <c r="T12" i="1"/>
  <c r="T11" i="1"/>
  <c r="K2" i="1"/>
  <c r="B2" i="1"/>
  <c r="P17" i="1" l="1"/>
  <c r="N79" i="1" s="1"/>
  <c r="L17" i="1"/>
  <c r="O17" i="1"/>
  <c r="U25" i="1"/>
  <c r="U24" i="1"/>
  <c r="U23" i="1"/>
  <c r="U22" i="1"/>
  <c r="L59" i="1"/>
  <c r="N27" i="1"/>
  <c r="N17" i="1" l="1"/>
  <c r="H17" i="1"/>
  <c r="E29" i="1" s="1"/>
  <c r="N44" i="1"/>
  <c r="N43" i="1"/>
  <c r="K54" i="1"/>
  <c r="K55" i="1"/>
  <c r="L55" i="1"/>
  <c r="M55" i="1"/>
  <c r="N55" i="1"/>
  <c r="L56" i="1"/>
  <c r="M56" i="1"/>
  <c r="N56" i="1"/>
  <c r="L57" i="1"/>
  <c r="M57" i="1"/>
  <c r="N57" i="1"/>
  <c r="L58" i="1"/>
  <c r="M58" i="1"/>
  <c r="N58" i="1"/>
  <c r="M59" i="1"/>
  <c r="N59" i="1"/>
  <c r="E50" i="1"/>
  <c r="N23" i="1"/>
  <c r="B59" i="1"/>
  <c r="K59" i="1" s="1"/>
  <c r="B58" i="1"/>
  <c r="K58" i="1" s="1"/>
  <c r="B57" i="1"/>
  <c r="K57" i="1" s="1"/>
  <c r="B56" i="1"/>
  <c r="K56" i="1" s="1"/>
  <c r="E49" i="1"/>
  <c r="N38" i="1"/>
  <c r="N50" i="1" s="1"/>
  <c r="N37" i="1"/>
  <c r="U11" i="1" l="1"/>
  <c r="E48" i="1"/>
  <c r="N35" i="1"/>
  <c r="N47" i="1"/>
  <c r="N29" i="1" l="1"/>
  <c r="N68" i="1"/>
  <c r="N46" i="1"/>
  <c r="N51" i="1"/>
  <c r="N49" i="1"/>
  <c r="E47" i="1"/>
  <c r="N28" i="1" l="1"/>
  <c r="N48" i="1" s="1"/>
  <c r="N52" i="1" s="1"/>
  <c r="N75" i="1" s="1"/>
  <c r="U12" i="1"/>
  <c r="N74" i="1"/>
  <c r="N63" i="1"/>
  <c r="N64" i="1" s="1"/>
  <c r="N65" i="1" s="1"/>
  <c r="N67" i="1" s="1"/>
  <c r="E68" i="1"/>
  <c r="N69" i="1" l="1"/>
  <c r="K69" i="1" s="1"/>
  <c r="N70" i="1"/>
  <c r="Y16" i="1"/>
  <c r="V24" i="1"/>
  <c r="N76" i="1"/>
  <c r="N78" i="1" l="1"/>
  <c r="N81" i="1" s="1"/>
  <c r="N80" i="1" l="1"/>
  <c r="K80" i="1" s="1"/>
  <c r="V25" i="1"/>
  <c r="E74" i="1" l="1"/>
  <c r="E63" i="1"/>
  <c r="Y13" i="1" l="1"/>
  <c r="V22" i="1"/>
  <c r="E64" i="1"/>
  <c r="E65" i="1" s="1"/>
  <c r="E67" i="1" l="1"/>
  <c r="E70" i="1" s="1"/>
  <c r="E69" i="1" l="1"/>
  <c r="B69" i="1"/>
  <c r="E52" i="1" l="1"/>
  <c r="E75" i="1" s="1"/>
  <c r="E76" i="1" s="1"/>
  <c r="E78" i="1" l="1"/>
  <c r="E81" i="1" s="1"/>
  <c r="E80" i="1" l="1"/>
  <c r="B80" i="1" s="1"/>
  <c r="V23" i="1" l="1"/>
  <c r="U6" i="1"/>
  <c r="U1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 Braga</author>
  </authors>
  <commentList>
    <comment ref="E2" authorId="0" shapeId="0" xr:uid="{D479521F-0F0D-4055-9D9A-83A7EB0D9394}">
      <text>
        <r>
          <rPr>
            <b/>
            <sz val="9"/>
            <color indexed="81"/>
            <rFont val="Segoe UI"/>
            <family val="2"/>
          </rPr>
          <t>Entram:</t>
        </r>
        <r>
          <rPr>
            <sz val="9"/>
            <color indexed="81"/>
            <rFont val="Segoe UI"/>
            <family val="2"/>
          </rPr>
          <t xml:space="preserve">
- férias do mês;
- 1/3 adicional;
- 1/3 do abono 10 dias.
</t>
        </r>
        <r>
          <rPr>
            <b/>
            <sz val="9"/>
            <color indexed="81"/>
            <rFont val="Segoe UI"/>
            <family val="2"/>
          </rPr>
          <t>Nâo entram:</t>
        </r>
        <r>
          <rPr>
            <sz val="9"/>
            <color indexed="81"/>
            <rFont val="Segoe UI"/>
            <family val="2"/>
          </rPr>
          <t xml:space="preserve">
- abono 10 dias;
- férias indenizadas rescisão.
</t>
        </r>
      </text>
    </comment>
    <comment ref="N2" authorId="0" shapeId="0" xr:uid="{F6F212B0-15E5-46C4-A2E7-6CC63B3213D7}">
      <text>
        <r>
          <rPr>
            <b/>
            <sz val="9"/>
            <color indexed="81"/>
            <rFont val="Segoe UI"/>
            <family val="2"/>
          </rPr>
          <t>Entram:</t>
        </r>
        <r>
          <rPr>
            <sz val="9"/>
            <color indexed="81"/>
            <rFont val="Segoe UI"/>
            <family val="2"/>
          </rPr>
          <t xml:space="preserve">
- férias do mês;
- 1/3 adicional;
- 1/3 do abono 10 dias.
</t>
        </r>
        <r>
          <rPr>
            <b/>
            <sz val="9"/>
            <color indexed="81"/>
            <rFont val="Segoe UI"/>
            <family val="2"/>
          </rPr>
          <t>Nâo entram:</t>
        </r>
        <r>
          <rPr>
            <sz val="9"/>
            <color indexed="81"/>
            <rFont val="Segoe UI"/>
            <family val="2"/>
          </rPr>
          <t xml:space="preserve">
- abono 10 dias;
- férias indenizadas rescisão.
</t>
        </r>
      </text>
    </comment>
    <comment ref="B40" authorId="0" shapeId="0" xr:uid="{DEF89A6F-9FFB-43E1-BA62-2770664814EF}">
      <text>
        <r>
          <rPr>
            <b/>
            <sz val="9"/>
            <color indexed="81"/>
            <rFont val="Segoe UI"/>
            <family val="2"/>
          </rPr>
          <t>Lei 14.754/2023</t>
        </r>
      </text>
    </comment>
    <comment ref="K40" authorId="0" shapeId="0" xr:uid="{A419F2B6-A298-4C60-AF49-6CF7804E1E59}">
      <text>
        <r>
          <rPr>
            <b/>
            <sz val="9"/>
            <color indexed="81"/>
            <rFont val="Segoe UI"/>
            <family val="2"/>
          </rPr>
          <t>Lei 14.754/2023</t>
        </r>
      </text>
    </comment>
  </commentList>
</comments>
</file>

<file path=xl/sharedStrings.xml><?xml version="1.0" encoding="utf-8"?>
<sst xmlns="http://schemas.openxmlformats.org/spreadsheetml/2006/main" count="138" uniqueCount="72">
  <si>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</si>
  <si>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</si>
  <si>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</si>
  <si>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</si>
  <si>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</si>
  <si>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</si>
  <si>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</si>
  <si>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</si>
  <si>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</si>
  <si>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</si>
  <si>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</si>
  <si>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</si>
  <si>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INSS</t>
  </si>
  <si>
    <t>Total</t>
  </si>
  <si>
    <t>IRRF</t>
  </si>
  <si>
    <t>Férias</t>
  </si>
  <si>
    <t>Salário mês</t>
  </si>
  <si>
    <t>Gratificações</t>
  </si>
  <si>
    <t>Gastos saúde:</t>
  </si>
  <si>
    <t>Gastos educação:</t>
  </si>
  <si>
    <t>Rendimentos tributáveis:</t>
  </si>
  <si>
    <t>INSS:</t>
  </si>
  <si>
    <t>Educação:</t>
  </si>
  <si>
    <t>Dependentes:</t>
  </si>
  <si>
    <t>Saúde:</t>
  </si>
  <si>
    <t>Total de deduções:</t>
  </si>
  <si>
    <t>Tabela IR</t>
  </si>
  <si>
    <t>∞</t>
  </si>
  <si>
    <t>Limite dedução saúde:</t>
  </si>
  <si>
    <t>Limite dedução educação:</t>
  </si>
  <si>
    <t>Rendimentos:</t>
  </si>
  <si>
    <t>Desconto simplificado:</t>
  </si>
  <si>
    <t>Base de cálculo:</t>
  </si>
  <si>
    <t>Imposto devido:</t>
  </si>
  <si>
    <t>IRRF:</t>
  </si>
  <si>
    <t>Simplificada:</t>
  </si>
  <si>
    <t>Simplificada?</t>
  </si>
  <si>
    <t>% simplificada:</t>
  </si>
  <si>
    <t>Limite dedução simplificada:</t>
  </si>
  <si>
    <t>Dedução por dependente:</t>
  </si>
  <si>
    <t>Completa:</t>
  </si>
  <si>
    <t>Deduções:</t>
  </si>
  <si>
    <t>Base de cálculo</t>
  </si>
  <si>
    <t>Gastos saúde dependentes:</t>
  </si>
  <si>
    <t>Gastos educação dependentes:</t>
  </si>
  <si>
    <t>PGBL extra já pago:</t>
  </si>
  <si>
    <t>PGBL extra a pagar:</t>
  </si>
  <si>
    <t>Alíquota efetiva:</t>
  </si>
  <si>
    <t>FAPI já pago:</t>
  </si>
  <si>
    <t>Limite de dedução de PGBL:</t>
  </si>
  <si>
    <t>FAPI</t>
  </si>
  <si>
    <t>Previdência privada:</t>
  </si>
  <si>
    <t>Restituição total:</t>
  </si>
  <si>
    <t>Objetivo: maximizar restituição, minimizando aportes adicionais.</t>
  </si>
  <si>
    <t>Função objetivo:</t>
  </si>
  <si>
    <t>Modelo Solver</t>
  </si>
  <si>
    <t>Respostas:</t>
  </si>
  <si>
    <t>Otimização:</t>
  </si>
  <si>
    <t>Dependente no:</t>
  </si>
  <si>
    <t>Nome cônjuge 1:</t>
  </si>
  <si>
    <t>Nome cônjuge 2:</t>
  </si>
  <si>
    <t>Saúde</t>
  </si>
  <si>
    <t>13º</t>
  </si>
  <si>
    <t>PLR</t>
  </si>
  <si>
    <t>Prefiro pagar imposto:</t>
  </si>
  <si>
    <t>Prefiro aplicar PGBL:</t>
  </si>
  <si>
    <t>Total de dependentes:</t>
  </si>
  <si>
    <t>Previdência dedutível:</t>
  </si>
  <si>
    <t>Rendimentos no exterior:</t>
  </si>
  <si>
    <t>Exterior:</t>
  </si>
  <si>
    <t>Conj 1</t>
  </si>
  <si>
    <t>Conj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</si>
</sst>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\ #,##0.00_-;_-* &quot;-&quot;??_-;_-@_-"/>
    <numFmt numFmtId="165" formatCode="0.0%"/>
    <numFmt numFmtId="166" formatCode="[Green]_-* #,##0.00_-;[Red]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9"/>
      <color indexed="81"/>
      <name val="Segoe U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43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right" indent="1"/>
    </xf>
    <xf numFmtId="9" fontId="0" fillId="0" borderId="0" xfId="0" applyNumberFormat="1"/>
    <xf numFmtId="0" fontId="4" fillId="0" borderId="0" xfId="0" applyFont="1"/>
    <xf numFmtId="10" fontId="0" fillId="2" borderId="1" xfId="1" applyNumberFormat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9" fontId="0" fillId="2" borderId="1" xfId="1" applyNumberFormat="1" applyFont="1" applyFill="1" applyBorder="1" applyProtection="1"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0" fontId="0" fillId="0" borderId="0" xfId="0" quotePrefix="1"/>
    <xf numFmtId="164" fontId="0" fillId="0" borderId="0" xfId="0" quotePrefix="1" applyNumberFormat="1"/>
    <xf numFmtId="4" fontId="0" fillId="0" borderId="0" xfId="0" applyNumberFormat="1"/>
    <xf numFmtId="43" fontId="0" fillId="2" borderId="1" xfId="1" applyFont="1" applyFill="1" applyBorder="1" applyAlignment="1" applyProtection="1">
      <alignment wrapText="1"/>
      <protection locked="0"/>
    </xf>
    <xf numFmtId="166" fontId="0" fillId="0" borderId="0" xfId="1" applyNumberFormat="1" applyFont="1"/>
    <xf numFmtId="43" fontId="8" fillId="0" borderId="0" xfId="1" applyFont="1" applyProtection="1">
      <protection locked="0"/>
    </xf>
    <xf numFmtId="43" fontId="2" fillId="0" borderId="0" xfId="0" applyNumberFormat="1" applyFont="1" applyAlignment="1">
      <alignment horizontal="center"/>
    </xf>
    <xf numFmtId="0" fontId="2" fillId="0" borderId="0" xfId="0" applyFont="1"/>
    <xf numFmtId="43" fontId="9" fillId="0" borderId="0" xfId="1" applyFont="1" applyProtection="1"/>
    <xf numFmtId="43" fontId="2" fillId="0" borderId="0" xfId="1" applyFont="1" applyProtection="1"/>
    <xf numFmtId="43" fontId="0" fillId="0" borderId="0" xfId="1" applyFont="1" applyProtection="1"/>
    <xf numFmtId="43" fontId="6" fillId="0" borderId="0" xfId="0" applyNumberFormat="1" applyFont="1"/>
    <xf numFmtId="4" fontId="6" fillId="0" borderId="0" xfId="0" applyNumberFormat="1" applyFont="1"/>
    <xf numFmtId="0" fontId="0" fillId="0" borderId="0" xfId="0" applyAlignment="1">
      <alignment horizontal="center"/>
    </xf>
    <xf numFmtId="9" fontId="0" fillId="0" borderId="0" xfId="1" applyNumberFormat="1" applyFont="1" applyProtection="1"/>
    <xf numFmtId="164" fontId="2" fillId="0" borderId="0" xfId="0" applyNumberFormat="1" applyFont="1"/>
    <xf numFmtId="164" fontId="0" fillId="0" borderId="0" xfId="0" applyNumberFormat="1"/>
    <xf numFmtId="164" fontId="0" fillId="0" borderId="1" xfId="0" applyNumberFormat="1" applyBorder="1"/>
    <xf numFmtId="165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6" fontId="0" fillId="0" borderId="0" xfId="1" applyNumberFormat="1" applyFont="1" applyProtection="1"/>
    <xf numFmtId="10" fontId="0" fillId="0" borderId="0" xfId="0" applyNumberFormat="1"/>
    <xf numFmtId="3" fontId="8" fillId="0" borderId="0" xfId="0" applyNumberFormat="1" applyFont="1"/>
    <xf numFmtId="43" fontId="0" fillId="0" borderId="0" xfId="1" applyFont="1" applyProtection="1">
      <protection locked="0"/>
    </xf>
    <xf numFmtId="43" fontId="10" fillId="0" borderId="0" xfId="1" applyFont="1" applyProtection="1">
      <protection locked="0"/>
    </xf>
    <xf numFmtId="43" fontId="8" fillId="2" borderId="1" xfId="1" applyFont="1" applyFill="1" applyBorder="1" applyProtection="1">
      <protection locked="0"/>
    </xf>
    <xf numFmtId="43" fontId="0" fillId="0" borderId="0" xfId="0" quotePrefix="1" applyNumberFormat="1"/>
    <xf numFmtId="0" fontId="4" fillId="0" borderId="0" xfId="0" applyFont="1" applyAlignment="1">
      <alignment horizontal="right" indent="1"/>
    </xf>
    <xf numFmtId="0" fontId="0" fillId="0" borderId="0" xfId="0" applyAlignment="1">
      <alignment horizontal="right" indent="1"/>
    </xf>
    <xf numFmtId="0" fontId="5" fillId="0" borderId="0" xfId="0" applyFont="1" applyAlignment="1">
      <alignment horizontal="right" indent="1"/>
    </xf>
  </cellXfs>
  <cellStyles count="2">
    <cellStyle name="Normal" xfId="0" builtinId="0"/>
    <cellStyle name="Vírgula" xfId="1" builtinId="3"/>
  </cellStyles>
  <dxfs count="6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21F8E-FAB6-479F-9D88-B00B8383E7CD}">
  <dimension ref="A1:AB85"/>
  <sheetViews>
    <sheetView showGridLines="0" showRowColHeaders="0" tabSelected="1" zoomScaleNormal="100" workbookViewId="0"/>
  </sheetViews>
  <sheetFormatPr defaultColWidth="0" defaultRowHeight="14.4" zeroHeight="1" x14ac:dyDescent="0.3"/>
  <cols>
    <col min="1" max="1" width="2.5546875" customWidth="1"/>
    <col min="2" max="2" width="12.44140625" bestFit="1" customWidth="1"/>
    <col min="3" max="3" width="14" bestFit="1" customWidth="1"/>
    <col min="4" max="4" width="11.5546875" bestFit="1" customWidth="1"/>
    <col min="5" max="5" width="15.21875" bestFit="1" customWidth="1"/>
    <col min="6" max="6" width="11.109375" bestFit="1" customWidth="1"/>
    <col min="7" max="7" width="11.21875" customWidth="1"/>
    <col min="8" max="8" width="10.5546875" bestFit="1" customWidth="1"/>
    <col min="9" max="9" width="9.21875" customWidth="1"/>
    <col min="10" max="10" width="2.5546875" customWidth="1"/>
    <col min="11" max="11" width="12.44140625" bestFit="1" customWidth="1"/>
    <col min="12" max="13" width="11.5546875" bestFit="1" customWidth="1"/>
    <col min="14" max="14" width="15.21875" bestFit="1" customWidth="1"/>
    <col min="15" max="15" width="10.21875" bestFit="1" customWidth="1"/>
    <col min="16" max="16" width="10.5546875" bestFit="1" customWidth="1"/>
    <col min="17" max="17" width="10.21875" bestFit="1" customWidth="1"/>
    <col min="18" max="18" width="9.21875" customWidth="1"/>
    <col min="19" max="19" width="2.5546875" customWidth="1"/>
    <col min="20" max="20" width="21.5546875" hidden="1"/>
    <col min="21" max="21" width="12.21875" hidden="1"/>
    <col min="22" max="22" width="11.77734375" hidden="1"/>
    <col min="23" max="24" width="8.88671875" hidden="1"/>
    <col min="25" max="25" width="12.77734375" hidden="1"/>
    <col min="26" max="26" width="9.77734375" hidden="1"/>
    <col min="27" max="16384" width="8.88671875" hidden="1"/>
  </cols>
  <sheetData>
    <row r="1" spans="2:25" x14ac:dyDescent="0.3"/>
    <row r="2" spans="2:25" x14ac:dyDescent="0.3">
      <c r="B2" s="17" t="str">
        <f>E20</f>
        <v>Conj 1</v>
      </c>
      <c r="C2" s="2" t="s">
        <v>16</v>
      </c>
      <c r="D2" s="2" t="s">
        <v>17</v>
      </c>
      <c r="E2" s="2" t="s">
        <v>15</v>
      </c>
      <c r="F2" s="2" t="s">
        <v>12</v>
      </c>
      <c r="G2" s="2" t="s">
        <v>14</v>
      </c>
      <c r="H2" s="2" t="s">
        <v>50</v>
      </c>
      <c r="I2" s="2" t="s">
        <v>61</v>
      </c>
      <c r="K2" s="17" t="str">
        <f>N20</f>
        <v>Conj 2</v>
      </c>
      <c r="L2" s="2" t="s">
        <v>16</v>
      </c>
      <c r="M2" s="2" t="s">
        <v>17</v>
      </c>
      <c r="N2" s="2" t="s">
        <v>15</v>
      </c>
      <c r="O2" s="2" t="s">
        <v>12</v>
      </c>
      <c r="P2" s="2" t="s">
        <v>14</v>
      </c>
      <c r="Q2" s="2" t="s">
        <v>50</v>
      </c>
      <c r="R2" s="2" t="s">
        <v>61</v>
      </c>
      <c r="T2" s="2" t="s">
        <v>57</v>
      </c>
      <c r="Y2" s="2" t="s">
        <v>55</v>
      </c>
    </row>
    <row r="3" spans="2:25" x14ac:dyDescent="0.3">
      <c r="B3" t="s">
        <v>0</v>
      </c>
      <c r="C3" s="34">
        <v>0</v>
      </c>
      <c r="D3" s="34">
        <v>0</v>
      </c>
      <c r="E3" s="34">
        <v>0</v>
      </c>
      <c r="F3" s="34">
        <v>0</v>
      </c>
      <c r="G3" s="34">
        <v>0</v>
      </c>
      <c r="H3" s="34">
        <v>0</v>
      </c>
      <c r="I3" s="34">
        <v>0</v>
      </c>
      <c r="K3" t="s">
        <v>0</v>
      </c>
      <c r="L3" s="16">
        <v>0</v>
      </c>
      <c r="M3" s="34">
        <v>0</v>
      </c>
      <c r="N3" s="34">
        <v>0</v>
      </c>
      <c r="O3" s="34">
        <v>0</v>
      </c>
      <c r="P3" s="34">
        <v>0</v>
      </c>
      <c r="Q3" s="34">
        <v>0</v>
      </c>
      <c r="R3" s="34">
        <v>0</v>
      </c>
    </row>
    <row r="4" spans="2:25" x14ac:dyDescent="0.3">
      <c r="B4" t="s">
        <v>1</v>
      </c>
      <c r="C4" s="34">
        <v>0</v>
      </c>
      <c r="D4" s="34">
        <v>0</v>
      </c>
      <c r="E4" s="34">
        <v>0</v>
      </c>
      <c r="F4" s="34">
        <v>0</v>
      </c>
      <c r="G4" s="34">
        <v>0</v>
      </c>
      <c r="H4" s="34">
        <v>0</v>
      </c>
      <c r="I4" s="34">
        <v>0</v>
      </c>
      <c r="K4" t="s">
        <v>1</v>
      </c>
      <c r="L4" s="16">
        <v>0</v>
      </c>
      <c r="M4" s="34">
        <v>0</v>
      </c>
      <c r="N4" s="34">
        <v>0</v>
      </c>
      <c r="O4" s="34">
        <v>0</v>
      </c>
      <c r="P4" s="34">
        <v>0</v>
      </c>
      <c r="Q4" s="34">
        <v>0</v>
      </c>
      <c r="R4" s="34">
        <v>0</v>
      </c>
      <c r="T4" s="5" t="s">
        <v>53</v>
      </c>
      <c r="Y4" t="e">
        <f ca="1">_xludf.MAX($U$14)</f>
        <v>#NAME?</v>
      </c>
    </row>
    <row r="5" spans="2:25" x14ac:dyDescent="0.3">
      <c r="B5" t="s">
        <v>2</v>
      </c>
      <c r="C5" s="34">
        <v>0</v>
      </c>
      <c r="D5" s="34">
        <v>0</v>
      </c>
      <c r="E5" s="34">
        <v>0</v>
      </c>
      <c r="F5" s="34">
        <v>0</v>
      </c>
      <c r="G5" s="34">
        <v>0</v>
      </c>
      <c r="H5" s="34">
        <v>0</v>
      </c>
      <c r="I5" s="34">
        <v>0</v>
      </c>
      <c r="K5" t="s">
        <v>2</v>
      </c>
      <c r="L5" s="16">
        <v>0</v>
      </c>
      <c r="M5" s="34">
        <v>0</v>
      </c>
      <c r="N5" s="34">
        <v>0</v>
      </c>
      <c r="O5" s="34">
        <v>0</v>
      </c>
      <c r="P5" s="34">
        <v>0</v>
      </c>
      <c r="Q5" s="34">
        <v>0</v>
      </c>
      <c r="R5" s="34">
        <v>0</v>
      </c>
      <c r="Y5">
        <f>COUNT($E$31,$N$31,$E$34,$E$42,$N$42)</f>
        <v>5</v>
      </c>
    </row>
    <row r="6" spans="2:25" x14ac:dyDescent="0.3">
      <c r="B6" t="s">
        <v>3</v>
      </c>
      <c r="C6" s="34">
        <v>0</v>
      </c>
      <c r="D6" s="34">
        <v>0</v>
      </c>
      <c r="E6" s="34">
        <v>0</v>
      </c>
      <c r="F6" s="34">
        <v>0</v>
      </c>
      <c r="G6" s="34">
        <v>0</v>
      </c>
      <c r="H6" s="34">
        <v>0</v>
      </c>
      <c r="I6" s="34">
        <v>0</v>
      </c>
      <c r="K6" t="s">
        <v>3</v>
      </c>
      <c r="L6" s="16">
        <v>0</v>
      </c>
      <c r="M6" s="34">
        <v>0</v>
      </c>
      <c r="N6" s="34">
        <v>0</v>
      </c>
      <c r="O6" s="34">
        <v>0</v>
      </c>
      <c r="P6" s="34">
        <v>0</v>
      </c>
      <c r="Q6" s="34">
        <v>0</v>
      </c>
      <c r="R6" s="34">
        <v>0</v>
      </c>
      <c r="T6" t="s">
        <v>52</v>
      </c>
      <c r="U6" s="15">
        <f>E42*E69+(1-E42)*E80
+N42*N69+(1-N42)*N80</f>
        <v>0</v>
      </c>
      <c r="Y6" t="b">
        <f>$E$34&lt;=1</f>
        <v>1</v>
      </c>
    </row>
    <row r="7" spans="2:25" x14ac:dyDescent="0.3">
      <c r="B7" t="s">
        <v>4</v>
      </c>
      <c r="C7" s="34">
        <v>0</v>
      </c>
      <c r="D7" s="34">
        <v>0</v>
      </c>
      <c r="E7" s="34">
        <v>0</v>
      </c>
      <c r="F7" s="34">
        <v>0</v>
      </c>
      <c r="G7" s="34">
        <v>0</v>
      </c>
      <c r="H7" s="34">
        <v>0</v>
      </c>
      <c r="I7" s="34">
        <v>0</v>
      </c>
      <c r="K7" t="s">
        <v>4</v>
      </c>
      <c r="L7" s="16">
        <v>0</v>
      </c>
      <c r="M7" s="34">
        <v>0</v>
      </c>
      <c r="N7" s="34">
        <v>0</v>
      </c>
      <c r="O7" s="34">
        <v>0</v>
      </c>
      <c r="P7" s="34">
        <v>0</v>
      </c>
      <c r="Q7" s="34">
        <v>0</v>
      </c>
      <c r="R7" s="34">
        <v>0</v>
      </c>
      <c r="Y7" t="b">
        <f>$E$42&lt;=1</f>
        <v>1</v>
      </c>
    </row>
    <row r="8" spans="2:25" x14ac:dyDescent="0.3">
      <c r="B8" t="s">
        <v>5</v>
      </c>
      <c r="C8" s="34">
        <v>0</v>
      </c>
      <c r="D8" s="34">
        <v>0</v>
      </c>
      <c r="E8" s="34">
        <v>0</v>
      </c>
      <c r="F8" s="34">
        <v>0</v>
      </c>
      <c r="G8" s="34">
        <v>0</v>
      </c>
      <c r="H8" s="34">
        <v>0</v>
      </c>
      <c r="I8" s="34">
        <v>0</v>
      </c>
      <c r="K8" t="s">
        <v>5</v>
      </c>
      <c r="L8" s="16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  <c r="R8" s="34">
        <v>0</v>
      </c>
      <c r="T8" t="s">
        <v>64</v>
      </c>
      <c r="U8" s="6">
        <v>1</v>
      </c>
      <c r="Y8" t="b">
        <f>$E$34=INT($E$34)</f>
        <v>1</v>
      </c>
    </row>
    <row r="9" spans="2:25" x14ac:dyDescent="0.3">
      <c r="B9" t="s">
        <v>6</v>
      </c>
      <c r="C9" s="34">
        <v>0</v>
      </c>
      <c r="D9" s="34">
        <v>0</v>
      </c>
      <c r="E9" s="34">
        <v>0</v>
      </c>
      <c r="F9" s="34">
        <v>0</v>
      </c>
      <c r="G9" s="34">
        <v>0</v>
      </c>
      <c r="H9" s="34">
        <v>0</v>
      </c>
      <c r="I9" s="34">
        <v>0</v>
      </c>
      <c r="K9" t="s">
        <v>6</v>
      </c>
      <c r="L9" s="16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T9" t="s">
        <v>65</v>
      </c>
      <c r="U9" s="6">
        <v>0.1</v>
      </c>
      <c r="Y9" t="b">
        <f>$E$42=INT($E$42)</f>
        <v>1</v>
      </c>
    </row>
    <row r="10" spans="2:25" x14ac:dyDescent="0.3">
      <c r="B10" t="s">
        <v>7</v>
      </c>
      <c r="C10" s="34">
        <v>0</v>
      </c>
      <c r="D10" s="34">
        <v>0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K10" t="s">
        <v>7</v>
      </c>
      <c r="L10" s="16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Y10" t="b">
        <f>$E$42&gt;=0</f>
        <v>1</v>
      </c>
    </row>
    <row r="11" spans="2:25" x14ac:dyDescent="0.3">
      <c r="B11" t="s">
        <v>8</v>
      </c>
      <c r="C11" s="34">
        <v>0</v>
      </c>
      <c r="D11" s="34">
        <v>0</v>
      </c>
      <c r="E11" s="34">
        <v>0</v>
      </c>
      <c r="F11" s="34">
        <v>0</v>
      </c>
      <c r="G11" s="34">
        <v>0</v>
      </c>
      <c r="H11" s="34">
        <v>0</v>
      </c>
      <c r="I11" s="34">
        <v>0</v>
      </c>
      <c r="K11" t="s">
        <v>8</v>
      </c>
      <c r="L11" s="16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0</v>
      </c>
      <c r="T11" t="str">
        <f>"Limite "&amp;E20&amp;":"</f>
        <v>Limite Conj 1:</v>
      </c>
      <c r="U11" s="1">
        <f>ROUND(MAX(0,E27*E46-E29-E30),2)</f>
        <v>0</v>
      </c>
      <c r="Y11" t="b">
        <f>$N$42&lt;=1</f>
        <v>1</v>
      </c>
    </row>
    <row r="12" spans="2:25" x14ac:dyDescent="0.3">
      <c r="B12" t="s">
        <v>9</v>
      </c>
      <c r="C12" s="34">
        <v>0</v>
      </c>
      <c r="D12" s="34">
        <v>0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5"/>
      <c r="K12" t="s">
        <v>9</v>
      </c>
      <c r="L12" s="35">
        <v>0</v>
      </c>
      <c r="M12" s="34">
        <v>0</v>
      </c>
      <c r="N12" s="34">
        <v>0</v>
      </c>
      <c r="O12" s="35">
        <v>0</v>
      </c>
      <c r="P12" s="35">
        <v>0</v>
      </c>
      <c r="Q12" s="35">
        <v>0</v>
      </c>
      <c r="R12" s="34">
        <v>0</v>
      </c>
      <c r="T12" t="str">
        <f>"Limite "&amp;N20&amp;":"</f>
        <v>Limite Conj 2:</v>
      </c>
      <c r="U12" s="1">
        <f>ROUND(MAX(0,N27*N46-N29-N30),2)</f>
        <v>0</v>
      </c>
      <c r="Y12" t="b">
        <f>$N$42=INT($N$42)</f>
        <v>1</v>
      </c>
    </row>
    <row r="13" spans="2:25" x14ac:dyDescent="0.3">
      <c r="B13" t="s">
        <v>10</v>
      </c>
      <c r="C13" s="34">
        <v>0</v>
      </c>
      <c r="D13" s="34">
        <v>0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5"/>
      <c r="K13" t="s">
        <v>10</v>
      </c>
      <c r="L13" s="35">
        <v>0</v>
      </c>
      <c r="M13" s="34">
        <v>0</v>
      </c>
      <c r="N13" s="34">
        <v>0</v>
      </c>
      <c r="O13" s="35">
        <v>0</v>
      </c>
      <c r="P13" s="35">
        <v>0</v>
      </c>
      <c r="Q13" s="35">
        <v>0</v>
      </c>
      <c r="R13" s="34">
        <v>0</v>
      </c>
      <c r="Y13" t="b">
        <f>ap_1&lt;=$U$11</f>
        <v>1</v>
      </c>
    </row>
    <row r="14" spans="2:25" x14ac:dyDescent="0.3">
      <c r="B14" t="s">
        <v>11</v>
      </c>
      <c r="C14" s="35">
        <v>0</v>
      </c>
      <c r="D14" s="34">
        <v>0</v>
      </c>
      <c r="E14" s="34">
        <v>0</v>
      </c>
      <c r="F14" s="35">
        <v>0</v>
      </c>
      <c r="G14" s="35">
        <v>0</v>
      </c>
      <c r="H14" s="35">
        <v>0</v>
      </c>
      <c r="I14" s="35">
        <v>0</v>
      </c>
      <c r="J14" s="5"/>
      <c r="K14" t="s">
        <v>11</v>
      </c>
      <c r="L14" s="35">
        <v>0</v>
      </c>
      <c r="M14" s="34">
        <v>0</v>
      </c>
      <c r="N14" s="34">
        <v>0</v>
      </c>
      <c r="O14" s="35">
        <v>0</v>
      </c>
      <c r="P14" s="35">
        <v>0</v>
      </c>
      <c r="Q14" s="35">
        <v>0</v>
      </c>
      <c r="R14" s="34">
        <v>0</v>
      </c>
      <c r="T14" t="s">
        <v>54</v>
      </c>
      <c r="U14" s="12">
        <f>(rest_tot*peso_imp) + (- (ap_1+ap_2)*peso_pgbl)</f>
        <v>0</v>
      </c>
      <c r="V14" s="11"/>
      <c r="Y14" t="b">
        <f>$N$42&gt;=0</f>
        <v>1</v>
      </c>
    </row>
    <row r="15" spans="2:25" x14ac:dyDescent="0.3">
      <c r="B15" t="s">
        <v>62</v>
      </c>
      <c r="C15" s="35">
        <v>0</v>
      </c>
      <c r="D15" s="34">
        <v>0</v>
      </c>
      <c r="E15" s="34">
        <v>0</v>
      </c>
      <c r="F15" s="35">
        <v>0</v>
      </c>
      <c r="G15" s="35">
        <v>0</v>
      </c>
      <c r="H15" s="35">
        <v>0</v>
      </c>
      <c r="I15" s="35">
        <v>0</v>
      </c>
      <c r="J15" s="5"/>
      <c r="K15" t="s">
        <v>62</v>
      </c>
      <c r="L15" s="35">
        <v>0</v>
      </c>
      <c r="M15" s="34">
        <v>0</v>
      </c>
      <c r="N15" s="34">
        <v>0</v>
      </c>
      <c r="O15" s="35">
        <v>0</v>
      </c>
      <c r="P15" s="35">
        <v>0</v>
      </c>
      <c r="Q15" s="35">
        <v>0</v>
      </c>
      <c r="R15" s="34">
        <v>0</v>
      </c>
      <c r="U15" s="12"/>
      <c r="V15" s="11"/>
      <c r="Y15" t="b">
        <f>ap_1&gt;=0</f>
        <v>1</v>
      </c>
    </row>
    <row r="16" spans="2:25" x14ac:dyDescent="0.3">
      <c r="B16" t="s">
        <v>63</v>
      </c>
      <c r="C16" s="34">
        <v>0</v>
      </c>
      <c r="D16" s="34">
        <v>0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5"/>
      <c r="K16" t="s">
        <v>63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  <c r="R16" s="34">
        <v>0</v>
      </c>
      <c r="U16" s="12"/>
      <c r="V16" s="11"/>
      <c r="Y16" t="b">
        <f>ap_2&lt;=$U$12</f>
        <v>1</v>
      </c>
    </row>
    <row r="17" spans="2:25" x14ac:dyDescent="0.3">
      <c r="B17" s="18" t="s">
        <v>13</v>
      </c>
      <c r="C17" s="19">
        <f>SUM(C3:C14)</f>
        <v>0</v>
      </c>
      <c r="D17" s="19">
        <f>SUM(D3:D14)</f>
        <v>0</v>
      </c>
      <c r="E17" s="19">
        <f>SUM(E3:E14)</f>
        <v>0</v>
      </c>
      <c r="F17" s="19">
        <f>SUM(F3:F14)</f>
        <v>0</v>
      </c>
      <c r="G17" s="19">
        <f t="shared" ref="G17:I17" si="0">SUM(G3:G14)</f>
        <v>0</v>
      </c>
      <c r="H17" s="19">
        <f>SUM(H3:H16)</f>
        <v>0</v>
      </c>
      <c r="I17" s="19">
        <f t="shared" si="0"/>
        <v>0</v>
      </c>
      <c r="K17" s="18" t="s">
        <v>13</v>
      </c>
      <c r="L17" s="20">
        <f>SUM(L3:L14)</f>
        <v>0</v>
      </c>
      <c r="M17" s="20">
        <f>SUM(M3:M14)</f>
        <v>0</v>
      </c>
      <c r="N17" s="20">
        <f>SUM(N3:N14)</f>
        <v>0</v>
      </c>
      <c r="O17" s="20">
        <f>SUM(O3:O14)</f>
        <v>0</v>
      </c>
      <c r="P17" s="20">
        <f>SUM(P3:P14)</f>
        <v>0</v>
      </c>
      <c r="Q17" s="20">
        <f t="shared" ref="Q17:R17" si="1">SUM(Q3:Q14)</f>
        <v>0</v>
      </c>
      <c r="R17" s="20">
        <f t="shared" si="1"/>
        <v>0</v>
      </c>
      <c r="Y17" t="b">
        <f>$E$34&gt;=0</f>
        <v>1</v>
      </c>
    </row>
    <row r="18" spans="2:25" x14ac:dyDescent="0.3">
      <c r="C18" s="13"/>
      <c r="D18" s="13"/>
      <c r="E18" s="13"/>
      <c r="F18" s="13"/>
      <c r="G18" s="13"/>
      <c r="H18" s="13"/>
      <c r="L18" s="21"/>
      <c r="M18" s="1"/>
      <c r="T18" s="2" t="s">
        <v>56</v>
      </c>
      <c r="Y18" t="b">
        <f>ap_2&gt;=0</f>
        <v>1</v>
      </c>
    </row>
    <row r="19" spans="2:25" x14ac:dyDescent="0.3">
      <c r="B19" s="39"/>
      <c r="C19" s="39"/>
      <c r="D19" s="39"/>
      <c r="E19" s="13"/>
      <c r="F19" s="13"/>
      <c r="G19" s="13"/>
      <c r="H19" s="13"/>
      <c r="T19" s="2"/>
      <c r="Y19">
        <f>{32767;32767;0.000001;0.01;FALSE;FALSE;FALSE;1;2;1;0.0001;TRUE}</f>
        <v>32767</v>
      </c>
    </row>
    <row r="20" spans="2:25" x14ac:dyDescent="0.3">
      <c r="B20" s="39" t="s">
        <v>59</v>
      </c>
      <c r="C20" s="39"/>
      <c r="D20" s="39"/>
      <c r="E20" s="10" t="s">
        <v>70</v>
      </c>
      <c r="F20" s="1"/>
      <c r="K20" s="39" t="s">
        <v>60</v>
      </c>
      <c r="L20" s="39"/>
      <c r="M20" s="39"/>
      <c r="N20" s="10" t="s">
        <v>71</v>
      </c>
      <c r="P20" s="1"/>
      <c r="Q20" s="1"/>
      <c r="Y20">
        <f>{0;0;3;100;0;FALSE;FALSE;0.075;0;0;FALSE;30}</f>
        <v>0</v>
      </c>
    </row>
    <row r="21" spans="2:25" x14ac:dyDescent="0.3">
      <c r="C21" s="1"/>
      <c r="F21" s="1"/>
      <c r="I21" s="1"/>
      <c r="Q21" s="1"/>
      <c r="T21" t="s">
        <v>58</v>
      </c>
      <c r="U21" s="3" t="str">
        <f>IF(E34=1,E20,N20)</f>
        <v>Conj 1</v>
      </c>
    </row>
    <row r="22" spans="2:25" x14ac:dyDescent="0.3">
      <c r="B22" s="39" t="s">
        <v>18</v>
      </c>
      <c r="C22" s="39"/>
      <c r="D22" s="39"/>
      <c r="E22" s="7">
        <v>0</v>
      </c>
      <c r="I22" s="33"/>
      <c r="K22" s="39" t="s">
        <v>18</v>
      </c>
      <c r="L22" s="39"/>
      <c r="M22" s="39"/>
      <c r="N22" s="7">
        <v>0</v>
      </c>
      <c r="Q22" s="1"/>
      <c r="T22" t="str">
        <f>"Aportar "&amp;E20&amp;":"</f>
        <v>Aportar Conj 1:</v>
      </c>
      <c r="U22" s="1">
        <f>E31</f>
        <v>0</v>
      </c>
      <c r="V22" s="4" t="e">
        <f>U22/U11</f>
        <v>#DIV/0!</v>
      </c>
    </row>
    <row r="23" spans="2:25" x14ac:dyDescent="0.3">
      <c r="B23" s="39" t="s">
        <v>28</v>
      </c>
      <c r="C23" s="39"/>
      <c r="D23" s="39"/>
      <c r="E23" s="7">
        <v>999999999.99000001</v>
      </c>
      <c r="I23" s="33"/>
      <c r="K23" s="39" t="s">
        <v>28</v>
      </c>
      <c r="L23" s="39"/>
      <c r="M23" s="39"/>
      <c r="N23" s="1">
        <f>E23</f>
        <v>999999999.99000001</v>
      </c>
      <c r="Q23" s="1"/>
      <c r="T23" t="str">
        <f>"Tipo "&amp;E20&amp;":"</f>
        <v>Tipo Conj 1:</v>
      </c>
      <c r="U23" s="3" t="str">
        <f>IF(E42=1,"Simplificada","Completa")</f>
        <v>Simplificada</v>
      </c>
      <c r="V23" t="str">
        <f>IF(E42=1,TEXT(E69,"#.##0,00")&amp;" x "&amp;TEXT(E80,"#.##0,00"),TEXT(E80,"#.##0,00")&amp;" x "&amp;TEXT(E69,"#.##0,00"))</f>
        <v>0,00 x 0,00</v>
      </c>
    </row>
    <row r="24" spans="2:25" x14ac:dyDescent="0.3">
      <c r="B24" s="39" t="s">
        <v>19</v>
      </c>
      <c r="C24" s="39"/>
      <c r="D24" s="39"/>
      <c r="E24" s="7">
        <v>0</v>
      </c>
      <c r="I24" s="33"/>
      <c r="K24" s="39" t="s">
        <v>19</v>
      </c>
      <c r="L24" s="39"/>
      <c r="M24" s="39"/>
      <c r="N24" s="7">
        <v>0</v>
      </c>
      <c r="Q24" s="1"/>
      <c r="T24" t="str">
        <f>"Aportar "&amp;N20&amp;":"</f>
        <v>Aportar Conj 2:</v>
      </c>
      <c r="U24" s="1">
        <f>N31</f>
        <v>0</v>
      </c>
      <c r="V24" s="4" t="e">
        <f>U24/U12</f>
        <v>#DIV/0!</v>
      </c>
    </row>
    <row r="25" spans="2:25" x14ac:dyDescent="0.3">
      <c r="B25" s="39" t="s">
        <v>29</v>
      </c>
      <c r="C25" s="39"/>
      <c r="D25" s="39"/>
      <c r="E25" s="7">
        <v>3561.5</v>
      </c>
      <c r="K25" s="39" t="s">
        <v>29</v>
      </c>
      <c r="L25" s="39"/>
      <c r="M25" s="39"/>
      <c r="N25" s="1">
        <f>E25</f>
        <v>3561.5</v>
      </c>
      <c r="Q25" s="1"/>
      <c r="T25" t="str">
        <f>"Tipo "&amp;N20&amp;":"</f>
        <v>Tipo Conj 2:</v>
      </c>
      <c r="U25" s="3" t="str">
        <f>IF(N42=1,"Simplificada","Completa")</f>
        <v>Simplificada</v>
      </c>
      <c r="V25" t="str">
        <f>IF(N42=1,TEXT(N69,"#.##0,00")&amp;" x "&amp;TEXT(N80,"#.##0,00"),TEXT(N80,"#.##0,00")&amp;" x "&amp;TEXT(N69,"#.##0,00"))</f>
        <v>0,00 x 0,00</v>
      </c>
    </row>
    <row r="26" spans="2:25" x14ac:dyDescent="0.3">
      <c r="C26" s="1"/>
      <c r="G26" s="22"/>
      <c r="H26" s="23"/>
      <c r="L26" s="1"/>
      <c r="Q26" s="1"/>
    </row>
    <row r="27" spans="2:25" x14ac:dyDescent="0.3">
      <c r="B27" s="39" t="s">
        <v>49</v>
      </c>
      <c r="C27" s="39"/>
      <c r="D27" s="39"/>
      <c r="E27" s="9">
        <v>0.12</v>
      </c>
      <c r="G27" s="22"/>
      <c r="H27" s="23"/>
      <c r="K27" s="39" t="s">
        <v>49</v>
      </c>
      <c r="L27" s="39"/>
      <c r="M27" s="39"/>
      <c r="N27" s="4">
        <f>E27</f>
        <v>0.12</v>
      </c>
      <c r="Q27" s="1"/>
    </row>
    <row r="28" spans="2:25" x14ac:dyDescent="0.3">
      <c r="B28" s="39" t="s">
        <v>67</v>
      </c>
      <c r="C28" s="39"/>
      <c r="D28" s="39"/>
      <c r="E28" s="1">
        <f>ROUND(E27*E46,2)</f>
        <v>0</v>
      </c>
      <c r="G28" s="22"/>
      <c r="H28" s="23"/>
      <c r="K28" s="39" t="s">
        <v>67</v>
      </c>
      <c r="L28" s="39"/>
      <c r="M28" s="39"/>
      <c r="N28" s="1">
        <f>ROUND(N27*N46,2)</f>
        <v>0</v>
      </c>
      <c r="Q28" s="1"/>
    </row>
    <row r="29" spans="2:25" x14ac:dyDescent="0.3">
      <c r="B29" s="39" t="s">
        <v>48</v>
      </c>
      <c r="C29" s="39"/>
      <c r="D29" s="39"/>
      <c r="E29" s="1">
        <f>H17</f>
        <v>0</v>
      </c>
      <c r="G29" s="22"/>
      <c r="H29" s="23"/>
      <c r="K29" s="39" t="s">
        <v>48</v>
      </c>
      <c r="L29" s="39"/>
      <c r="M29" s="39"/>
      <c r="N29" s="1">
        <f>Q17</f>
        <v>0</v>
      </c>
      <c r="Q29" s="1"/>
    </row>
    <row r="30" spans="2:25" x14ac:dyDescent="0.3">
      <c r="B30" s="39" t="s">
        <v>45</v>
      </c>
      <c r="C30" s="39"/>
      <c r="D30" s="39"/>
      <c r="E30" s="7">
        <v>0</v>
      </c>
      <c r="G30" s="22"/>
      <c r="H30" s="23"/>
      <c r="K30" s="39" t="s">
        <v>45</v>
      </c>
      <c r="L30" s="39"/>
      <c r="M30" s="39"/>
      <c r="N30" s="7">
        <v>0</v>
      </c>
      <c r="Q30" s="1"/>
    </row>
    <row r="31" spans="2:25" x14ac:dyDescent="0.3">
      <c r="B31" s="39" t="s">
        <v>46</v>
      </c>
      <c r="C31" s="39"/>
      <c r="D31" s="39"/>
      <c r="E31" s="7">
        <v>0</v>
      </c>
      <c r="K31" s="39" t="s">
        <v>46</v>
      </c>
      <c r="L31" s="39"/>
      <c r="M31" s="39"/>
      <c r="N31" s="7">
        <v>0</v>
      </c>
      <c r="Q31" s="1"/>
    </row>
    <row r="32" spans="2:25" x14ac:dyDescent="0.3">
      <c r="C32" s="1"/>
      <c r="G32" s="1"/>
      <c r="Q32" s="1"/>
    </row>
    <row r="33" spans="2:28" x14ac:dyDescent="0.3">
      <c r="B33" s="39" t="s">
        <v>66</v>
      </c>
      <c r="C33" s="39"/>
      <c r="D33" s="39"/>
      <c r="E33" s="8">
        <v>1</v>
      </c>
      <c r="G33" s="1"/>
      <c r="K33" s="39"/>
      <c r="L33" s="39"/>
      <c r="M33" s="39"/>
      <c r="Q33" s="1"/>
    </row>
    <row r="34" spans="2:28" x14ac:dyDescent="0.3">
      <c r="B34" s="39" t="str">
        <f>"Dependentes em "&amp;E20&amp;":"</f>
        <v>Dependentes em Conj 1:</v>
      </c>
      <c r="C34" s="39"/>
      <c r="D34" s="39"/>
      <c r="E34" s="8">
        <v>1</v>
      </c>
      <c r="G34" s="1"/>
      <c r="K34" s="39" t="str">
        <f>"Dependentes em "&amp;N20&amp;":"</f>
        <v>Dependentes em Conj 2:</v>
      </c>
      <c r="L34" s="39"/>
      <c r="M34" s="39"/>
      <c r="N34" s="24">
        <f>E33-E34</f>
        <v>0</v>
      </c>
      <c r="Q34" s="13"/>
      <c r="R34" s="13"/>
    </row>
    <row r="35" spans="2:28" x14ac:dyDescent="0.3">
      <c r="B35" s="39" t="s">
        <v>39</v>
      </c>
      <c r="C35" s="39"/>
      <c r="D35" s="39"/>
      <c r="E35" s="7">
        <f>12*189.59</f>
        <v>2275.08</v>
      </c>
      <c r="K35" s="39" t="s">
        <v>39</v>
      </c>
      <c r="L35" s="39"/>
      <c r="M35" s="39"/>
      <c r="N35" s="21">
        <f>$E$35</f>
        <v>2275.08</v>
      </c>
      <c r="Q35" s="1"/>
      <c r="R35" s="1"/>
    </row>
    <row r="36" spans="2:28" x14ac:dyDescent="0.3"/>
    <row r="37" spans="2:28" x14ac:dyDescent="0.3">
      <c r="B37" s="39" t="s">
        <v>43</v>
      </c>
      <c r="C37" s="39"/>
      <c r="D37" s="39"/>
      <c r="E37" s="14">
        <v>0</v>
      </c>
      <c r="K37" s="39" t="s">
        <v>43</v>
      </c>
      <c r="L37" s="39"/>
      <c r="M37" s="39"/>
      <c r="N37" s="21">
        <f>E37</f>
        <v>0</v>
      </c>
    </row>
    <row r="38" spans="2:28" x14ac:dyDescent="0.3">
      <c r="B38" s="39" t="s">
        <v>44</v>
      </c>
      <c r="C38" s="39"/>
      <c r="D38" s="39"/>
      <c r="E38" s="36">
        <v>0</v>
      </c>
      <c r="K38" s="39" t="s">
        <v>44</v>
      </c>
      <c r="L38" s="39"/>
      <c r="M38" s="39"/>
      <c r="N38" s="21">
        <f>E38</f>
        <v>0</v>
      </c>
    </row>
    <row r="39" spans="2:28" x14ac:dyDescent="0.3">
      <c r="Y39" s="13"/>
      <c r="Z39" s="13"/>
    </row>
    <row r="40" spans="2:28" x14ac:dyDescent="0.3">
      <c r="B40" s="39" t="s">
        <v>68</v>
      </c>
      <c r="C40" s="39"/>
      <c r="D40" s="39"/>
      <c r="E40" s="14">
        <v>0</v>
      </c>
      <c r="F40" s="4"/>
      <c r="G40" s="1"/>
      <c r="K40" s="39" t="s">
        <v>68</v>
      </c>
      <c r="L40" s="39"/>
      <c r="M40" s="39"/>
      <c r="N40" s="14">
        <v>0</v>
      </c>
      <c r="Y40" s="13"/>
      <c r="Z40" s="13"/>
    </row>
    <row r="41" spans="2:28" x14ac:dyDescent="0.3">
      <c r="Y41" s="13"/>
      <c r="Z41" s="13"/>
    </row>
    <row r="42" spans="2:28" x14ac:dyDescent="0.3">
      <c r="B42" s="39" t="s">
        <v>36</v>
      </c>
      <c r="C42" s="39"/>
      <c r="D42" s="39"/>
      <c r="E42" s="8">
        <v>1</v>
      </c>
      <c r="K42" s="39" t="s">
        <v>36</v>
      </c>
      <c r="L42" s="39"/>
      <c r="M42" s="39"/>
      <c r="N42" s="8">
        <v>1</v>
      </c>
      <c r="Q42" s="1"/>
      <c r="Z42" s="13"/>
      <c r="AB42" s="13"/>
    </row>
    <row r="43" spans="2:28" x14ac:dyDescent="0.3">
      <c r="B43" s="39" t="s">
        <v>37</v>
      </c>
      <c r="C43" s="39"/>
      <c r="D43" s="39"/>
      <c r="E43" s="9">
        <v>0.2</v>
      </c>
      <c r="K43" s="39" t="s">
        <v>37</v>
      </c>
      <c r="L43" s="39"/>
      <c r="M43" s="39"/>
      <c r="N43" s="25">
        <f>E43</f>
        <v>0.2</v>
      </c>
      <c r="T43" s="1"/>
      <c r="Y43" s="13"/>
      <c r="Z43" s="13"/>
    </row>
    <row r="44" spans="2:28" x14ac:dyDescent="0.3">
      <c r="B44" s="39" t="s">
        <v>38</v>
      </c>
      <c r="C44" s="39"/>
      <c r="D44" s="39"/>
      <c r="E44" s="7">
        <v>16754.34</v>
      </c>
      <c r="K44" s="39" t="s">
        <v>38</v>
      </c>
      <c r="L44" s="39"/>
      <c r="M44" s="39"/>
      <c r="N44" s="21">
        <f>E44</f>
        <v>16754.34</v>
      </c>
    </row>
    <row r="45" spans="2:28" x14ac:dyDescent="0.3">
      <c r="T45" s="1"/>
      <c r="Y45" s="13"/>
      <c r="Z45" s="13"/>
    </row>
    <row r="46" spans="2:28" x14ac:dyDescent="0.3">
      <c r="B46" s="40" t="s">
        <v>20</v>
      </c>
      <c r="C46" s="40"/>
      <c r="D46" s="40"/>
      <c r="E46" s="26">
        <f>SUM(C17:E17)</f>
        <v>0</v>
      </c>
      <c r="K46" s="40" t="s">
        <v>20</v>
      </c>
      <c r="L46" s="40"/>
      <c r="M46" s="40"/>
      <c r="N46" s="26">
        <f>SUM(L17:N17)</f>
        <v>0</v>
      </c>
    </row>
    <row r="47" spans="2:28" x14ac:dyDescent="0.3">
      <c r="B47" s="38" t="s">
        <v>21</v>
      </c>
      <c r="C47" s="38"/>
      <c r="D47" s="38"/>
      <c r="E47" s="27">
        <f>-F17</f>
        <v>0</v>
      </c>
      <c r="K47" s="38" t="s">
        <v>21</v>
      </c>
      <c r="L47" s="38"/>
      <c r="M47" s="38"/>
      <c r="N47" s="27">
        <f>-O17</f>
        <v>0</v>
      </c>
      <c r="T47" s="1"/>
    </row>
    <row r="48" spans="2:28" x14ac:dyDescent="0.3">
      <c r="B48" s="38" t="s">
        <v>51</v>
      </c>
      <c r="C48" s="38"/>
      <c r="D48" s="38"/>
      <c r="E48" s="27">
        <f>-MIN(E28,SUM(E29:E31))</f>
        <v>0</v>
      </c>
      <c r="K48" s="38" t="s">
        <v>51</v>
      </c>
      <c r="L48" s="38"/>
      <c r="M48" s="38"/>
      <c r="N48" s="27">
        <f>-MIN(N28,SUM(N29:N31))</f>
        <v>0</v>
      </c>
    </row>
    <row r="49" spans="2:15" x14ac:dyDescent="0.3">
      <c r="B49" s="38" t="s">
        <v>23</v>
      </c>
      <c r="C49" s="38"/>
      <c r="D49" s="38"/>
      <c r="E49" s="27">
        <f>-E34*E35</f>
        <v>-2275.08</v>
      </c>
      <c r="K49" s="38" t="s">
        <v>23</v>
      </c>
      <c r="L49" s="38"/>
      <c r="M49" s="38"/>
      <c r="N49" s="27">
        <f>-N34*N35</f>
        <v>0</v>
      </c>
    </row>
    <row r="50" spans="2:15" x14ac:dyDescent="0.3">
      <c r="B50" s="38" t="s">
        <v>22</v>
      </c>
      <c r="C50" s="38"/>
      <c r="D50" s="38"/>
      <c r="E50" s="27">
        <f>-MIN(E25,E24)-MIN(E25,E38*E34)</f>
        <v>0</v>
      </c>
      <c r="F50" s="11"/>
      <c r="K50" s="38" t="s">
        <v>22</v>
      </c>
      <c r="L50" s="38"/>
      <c r="M50" s="38"/>
      <c r="N50" s="27">
        <f>-MIN(N25,N24)-MIN(N25,N38*N34)</f>
        <v>0</v>
      </c>
      <c r="O50" s="11"/>
    </row>
    <row r="51" spans="2:15" x14ac:dyDescent="0.3">
      <c r="B51" s="38" t="s">
        <v>24</v>
      </c>
      <c r="C51" s="38"/>
      <c r="D51" s="38"/>
      <c r="E51" s="27">
        <f>-MIN(E23,E22)-MIN(E23,E37*E34)</f>
        <v>0</v>
      </c>
      <c r="F51" s="37"/>
      <c r="K51" s="38" t="s">
        <v>24</v>
      </c>
      <c r="L51" s="38"/>
      <c r="M51" s="38"/>
      <c r="N51" s="27">
        <f>-MIN(N23,N22)-MIN(N23,N37*N34)</f>
        <v>0</v>
      </c>
      <c r="O51" s="11"/>
    </row>
    <row r="52" spans="2:15" x14ac:dyDescent="0.3">
      <c r="B52" s="40" t="s">
        <v>25</v>
      </c>
      <c r="C52" s="40"/>
      <c r="D52" s="40"/>
      <c r="E52" s="26">
        <f>SUM(E47:E51)</f>
        <v>-2275.08</v>
      </c>
      <c r="K52" s="40" t="s">
        <v>25</v>
      </c>
      <c r="L52" s="40"/>
      <c r="M52" s="40"/>
      <c r="N52" s="26">
        <f>SUM(N47:N51)</f>
        <v>0</v>
      </c>
    </row>
    <row r="53" spans="2:15" x14ac:dyDescent="0.3"/>
    <row r="54" spans="2:15" x14ac:dyDescent="0.3">
      <c r="B54" s="18" t="s">
        <v>26</v>
      </c>
      <c r="K54" s="18" t="str">
        <f t="shared" ref="K54:K59" si="2">B54</f>
        <v>Tabela IR</v>
      </c>
    </row>
    <row r="55" spans="2:15" x14ac:dyDescent="0.3">
      <c r="B55" s="28">
        <v>0</v>
      </c>
      <c r="C55" s="28">
        <f>4*2259.2+8*2428.8</f>
        <v>28467.200000000001</v>
      </c>
      <c r="D55" s="29">
        <v>0</v>
      </c>
      <c r="E55" s="28">
        <v>0</v>
      </c>
      <c r="G55" s="1"/>
      <c r="H55" s="1"/>
      <c r="K55" s="28">
        <f t="shared" si="2"/>
        <v>0</v>
      </c>
      <c r="L55" s="28">
        <f t="shared" ref="L55:N59" si="3">C55</f>
        <v>28467.200000000001</v>
      </c>
      <c r="M55" s="29">
        <f t="shared" si="3"/>
        <v>0</v>
      </c>
      <c r="N55" s="28">
        <f t="shared" si="3"/>
        <v>0</v>
      </c>
    </row>
    <row r="56" spans="2:15" x14ac:dyDescent="0.3">
      <c r="B56" s="28">
        <f>C55+0.01</f>
        <v>28467.21</v>
      </c>
      <c r="C56" s="28">
        <f>12*2826.65</f>
        <v>33919.800000000003</v>
      </c>
      <c r="D56" s="29">
        <v>7.4999999999999997E-2</v>
      </c>
      <c r="E56" s="28">
        <v>2135.04</v>
      </c>
      <c r="F56" s="1"/>
      <c r="G56" s="1"/>
      <c r="H56" s="1"/>
      <c r="K56" s="28">
        <f t="shared" si="2"/>
        <v>28467.21</v>
      </c>
      <c r="L56" s="28">
        <f t="shared" si="3"/>
        <v>33919.800000000003</v>
      </c>
      <c r="M56" s="29">
        <f t="shared" si="3"/>
        <v>7.4999999999999997E-2</v>
      </c>
      <c r="N56" s="28">
        <f t="shared" si="3"/>
        <v>2135.04</v>
      </c>
    </row>
    <row r="57" spans="2:15" x14ac:dyDescent="0.3">
      <c r="B57" s="28">
        <f t="shared" ref="B57:B59" si="4">C56+0.01</f>
        <v>33919.810000000005</v>
      </c>
      <c r="C57" s="28">
        <f>12*3751.05</f>
        <v>45012.600000000006</v>
      </c>
      <c r="D57" s="29">
        <v>0.15</v>
      </c>
      <c r="E57" s="28">
        <v>4679.03</v>
      </c>
      <c r="F57" s="1"/>
      <c r="G57" s="1"/>
      <c r="H57" s="1"/>
      <c r="K57" s="28">
        <f t="shared" si="2"/>
        <v>33919.810000000005</v>
      </c>
      <c r="L57" s="28">
        <f t="shared" si="3"/>
        <v>45012.600000000006</v>
      </c>
      <c r="M57" s="29">
        <f t="shared" si="3"/>
        <v>0.15</v>
      </c>
      <c r="N57" s="28">
        <f t="shared" si="3"/>
        <v>4679.03</v>
      </c>
    </row>
    <row r="58" spans="2:15" x14ac:dyDescent="0.3">
      <c r="B58" s="28">
        <f t="shared" si="4"/>
        <v>45012.610000000008</v>
      </c>
      <c r="C58" s="28">
        <f>12*4664.68</f>
        <v>55976.160000000003</v>
      </c>
      <c r="D58" s="29">
        <v>0.22500000000000001</v>
      </c>
      <c r="E58" s="28">
        <v>8054.97</v>
      </c>
      <c r="G58" s="1"/>
      <c r="H58" s="1"/>
      <c r="K58" s="28">
        <f t="shared" si="2"/>
        <v>45012.610000000008</v>
      </c>
      <c r="L58" s="28">
        <f t="shared" si="3"/>
        <v>55976.160000000003</v>
      </c>
      <c r="M58" s="29">
        <f t="shared" si="3"/>
        <v>0.22500000000000001</v>
      </c>
      <c r="N58" s="28">
        <f t="shared" si="3"/>
        <v>8054.97</v>
      </c>
    </row>
    <row r="59" spans="2:15" x14ac:dyDescent="0.3">
      <c r="B59" s="28">
        <f t="shared" si="4"/>
        <v>55976.170000000006</v>
      </c>
      <c r="C59" s="30" t="s">
        <v>27</v>
      </c>
      <c r="D59" s="29">
        <v>0.27500000000000002</v>
      </c>
      <c r="E59" s="28">
        <v>10853.78</v>
      </c>
      <c r="G59" s="1"/>
      <c r="H59" s="1"/>
      <c r="K59" s="28">
        <f t="shared" si="2"/>
        <v>55976.170000000006</v>
      </c>
      <c r="L59" s="30" t="str">
        <f t="shared" si="3"/>
        <v>∞</v>
      </c>
      <c r="M59" s="29">
        <f t="shared" si="3"/>
        <v>0.27500000000000002</v>
      </c>
      <c r="N59" s="28">
        <f t="shared" si="3"/>
        <v>10853.78</v>
      </c>
    </row>
    <row r="60" spans="2:15" x14ac:dyDescent="0.3"/>
    <row r="61" spans="2:15" x14ac:dyDescent="0.3">
      <c r="B61" s="18" t="s">
        <v>35</v>
      </c>
      <c r="K61" s="18" t="s">
        <v>35</v>
      </c>
    </row>
    <row r="62" spans="2:15" x14ac:dyDescent="0.3"/>
    <row r="63" spans="2:15" x14ac:dyDescent="0.3">
      <c r="B63" s="38" t="s">
        <v>30</v>
      </c>
      <c r="C63" s="38"/>
      <c r="D63" s="38"/>
      <c r="E63" s="27">
        <f>E46</f>
        <v>0</v>
      </c>
      <c r="K63" s="38" t="s">
        <v>30</v>
      </c>
      <c r="L63" s="38"/>
      <c r="M63" s="38"/>
      <c r="N63" s="27">
        <f>N46</f>
        <v>0</v>
      </c>
    </row>
    <row r="64" spans="2:15" x14ac:dyDescent="0.3">
      <c r="B64" s="38" t="s">
        <v>31</v>
      </c>
      <c r="C64" s="38"/>
      <c r="D64" s="38"/>
      <c r="E64" s="27">
        <f>-MIN(E44,ROUND(E63*E43,2))</f>
        <v>0</v>
      </c>
      <c r="K64" s="38" t="s">
        <v>31</v>
      </c>
      <c r="L64" s="38"/>
      <c r="M64" s="38"/>
      <c r="N64" s="27">
        <f>-MIN(N44,ROUND(N63*N43,2))</f>
        <v>0</v>
      </c>
    </row>
    <row r="65" spans="2:14" x14ac:dyDescent="0.3">
      <c r="B65" s="38" t="s">
        <v>32</v>
      </c>
      <c r="C65" s="38"/>
      <c r="D65" s="38"/>
      <c r="E65" s="27">
        <f>MAX(0,E63+E64)</f>
        <v>0</v>
      </c>
      <c r="K65" s="38" t="s">
        <v>32</v>
      </c>
      <c r="L65" s="38"/>
      <c r="M65" s="38"/>
      <c r="N65" s="27">
        <f>MAX(0,N63+N64)</f>
        <v>0</v>
      </c>
    </row>
    <row r="66" spans="2:14" x14ac:dyDescent="0.3">
      <c r="B66" s="38" t="s">
        <v>69</v>
      </c>
      <c r="C66" s="38"/>
      <c r="D66" s="38"/>
      <c r="E66" s="27">
        <f>E$40</f>
        <v>0</v>
      </c>
      <c r="K66" s="38" t="s">
        <v>69</v>
      </c>
      <c r="L66" s="38"/>
      <c r="M66" s="38"/>
      <c r="N66" s="27">
        <f>N$40</f>
        <v>0</v>
      </c>
    </row>
    <row r="67" spans="2:14" x14ac:dyDescent="0.3">
      <c r="B67" s="38" t="s">
        <v>33</v>
      </c>
      <c r="C67" s="38"/>
      <c r="D67" s="38"/>
      <c r="E67" s="27">
        <f>-ROUND(E65*VLOOKUP(E65,B55:E59,3,1)-VLOOKUP(E65,B55:E59,4,1),2)
- ROUND(15% * E66, 2)</f>
        <v>0</v>
      </c>
      <c r="K67" s="38" t="s">
        <v>33</v>
      </c>
      <c r="L67" s="38"/>
      <c r="M67" s="38"/>
      <c r="N67" s="27">
        <f>-ROUND(N65*VLOOKUP(N65,K55:N59,3,1)-VLOOKUP(N65,K55:N59,4,1),2)
- ROUND(15% * N66, 2)</f>
        <v>0</v>
      </c>
    </row>
    <row r="68" spans="2:14" x14ac:dyDescent="0.3">
      <c r="B68" s="38" t="s">
        <v>34</v>
      </c>
      <c r="C68" s="38"/>
      <c r="D68" s="38"/>
      <c r="E68" s="27">
        <f>G17</f>
        <v>0</v>
      </c>
      <c r="K68" s="38" t="s">
        <v>34</v>
      </c>
      <c r="L68" s="38"/>
      <c r="M68" s="38"/>
      <c r="N68" s="27">
        <f>P17</f>
        <v>0</v>
      </c>
    </row>
    <row r="69" spans="2:14" x14ac:dyDescent="0.3">
      <c r="B69" s="38" t="str">
        <f>IF(E69&lt;0,"Imposto a pagar:","Imposto a restituir:")</f>
        <v>Imposto a restituir:</v>
      </c>
      <c r="C69" s="38"/>
      <c r="D69" s="38"/>
      <c r="E69" s="31">
        <f>E67+E68</f>
        <v>0</v>
      </c>
      <c r="K69" s="38" t="str">
        <f>IF(N69&lt;0,"Imposto a pagar:","Imposto a restituir:")</f>
        <v>Imposto a restituir:</v>
      </c>
      <c r="L69" s="38"/>
      <c r="M69" s="38"/>
      <c r="N69" s="31">
        <f>N67+N68</f>
        <v>0</v>
      </c>
    </row>
    <row r="70" spans="2:14" x14ac:dyDescent="0.3">
      <c r="B70" s="38" t="s">
        <v>47</v>
      </c>
      <c r="C70" s="38"/>
      <c r="D70" s="38"/>
      <c r="E70" s="32">
        <f>IFERROR(-E67/E63,0)</f>
        <v>0</v>
      </c>
      <c r="K70" s="38" t="s">
        <v>47</v>
      </c>
      <c r="L70" s="38"/>
      <c r="M70" s="38"/>
      <c r="N70" s="32">
        <f>IFERROR(-N67/N63,0)</f>
        <v>0</v>
      </c>
    </row>
    <row r="71" spans="2:14" x14ac:dyDescent="0.3"/>
    <row r="72" spans="2:14" x14ac:dyDescent="0.3">
      <c r="B72" s="18" t="s">
        <v>40</v>
      </c>
      <c r="K72" s="18" t="s">
        <v>40</v>
      </c>
    </row>
    <row r="73" spans="2:14" x14ac:dyDescent="0.3"/>
    <row r="74" spans="2:14" x14ac:dyDescent="0.3">
      <c r="B74" s="38" t="s">
        <v>30</v>
      </c>
      <c r="C74" s="38"/>
      <c r="D74" s="38"/>
      <c r="E74" s="27">
        <f>E46</f>
        <v>0</v>
      </c>
      <c r="K74" s="38" t="s">
        <v>30</v>
      </c>
      <c r="L74" s="38"/>
      <c r="M74" s="38"/>
      <c r="N74" s="27">
        <f>N46</f>
        <v>0</v>
      </c>
    </row>
    <row r="75" spans="2:14" x14ac:dyDescent="0.3">
      <c r="B75" s="38" t="s">
        <v>41</v>
      </c>
      <c r="C75" s="38"/>
      <c r="D75" s="38"/>
      <c r="E75" s="27">
        <f>E52</f>
        <v>-2275.08</v>
      </c>
      <c r="K75" s="38" t="s">
        <v>41</v>
      </c>
      <c r="L75" s="38"/>
      <c r="M75" s="38"/>
      <c r="N75" s="27">
        <f>N52</f>
        <v>0</v>
      </c>
    </row>
    <row r="76" spans="2:14" x14ac:dyDescent="0.3">
      <c r="B76" s="38" t="s">
        <v>42</v>
      </c>
      <c r="C76" s="38"/>
      <c r="D76" s="38"/>
      <c r="E76" s="27">
        <f>E74+E75</f>
        <v>-2275.08</v>
      </c>
      <c r="K76" s="38" t="s">
        <v>42</v>
      </c>
      <c r="L76" s="38"/>
      <c r="M76" s="38"/>
      <c r="N76" s="27">
        <f>N74+N75</f>
        <v>0</v>
      </c>
    </row>
    <row r="77" spans="2:14" x14ac:dyDescent="0.3">
      <c r="B77" s="38" t="s">
        <v>69</v>
      </c>
      <c r="C77" s="38"/>
      <c r="D77" s="38"/>
      <c r="E77" s="27">
        <f>E$40</f>
        <v>0</v>
      </c>
      <c r="K77" s="38" t="s">
        <v>69</v>
      </c>
      <c r="L77" s="38"/>
      <c r="M77" s="38"/>
      <c r="N77" s="27">
        <f>N$40</f>
        <v>0</v>
      </c>
    </row>
    <row r="78" spans="2:14" x14ac:dyDescent="0.3">
      <c r="B78" s="38" t="s">
        <v>33</v>
      </c>
      <c r="C78" s="38"/>
      <c r="D78" s="38"/>
      <c r="E78" s="27">
        <f>IFERROR(-ROUND(E76*VLOOKUP(E76,B55:E59,3,1)-VLOOKUP(E76,B55:E59,4,1),2),0)
- ROUND(15% * E77, 2)</f>
        <v>0</v>
      </c>
      <c r="K78" s="38" t="s">
        <v>33</v>
      </c>
      <c r="L78" s="38"/>
      <c r="M78" s="38"/>
      <c r="N78" s="27">
        <f>IFERROR(-ROUND(N76*VLOOKUP(N76,K55:N59,3,1)-VLOOKUP(N76,K55:N59,4,1),2),0)
- ROUND(15% * N77, 2)</f>
        <v>0</v>
      </c>
    </row>
    <row r="79" spans="2:14" x14ac:dyDescent="0.3">
      <c r="B79" s="38" t="s">
        <v>34</v>
      </c>
      <c r="C79" s="38"/>
      <c r="D79" s="38"/>
      <c r="E79" s="27">
        <f>$G$17</f>
        <v>0</v>
      </c>
      <c r="K79" s="38" t="s">
        <v>34</v>
      </c>
      <c r="L79" s="38"/>
      <c r="M79" s="38"/>
      <c r="N79" s="27">
        <f>$P$17</f>
        <v>0</v>
      </c>
    </row>
    <row r="80" spans="2:14" x14ac:dyDescent="0.3">
      <c r="B80" s="38" t="str">
        <f>IF(E80&lt;0,"Imposto a pagar:","Imposto a restituir:")</f>
        <v>Imposto a restituir:</v>
      </c>
      <c r="C80" s="38"/>
      <c r="D80" s="38"/>
      <c r="E80" s="31">
        <f>E78+E79</f>
        <v>0</v>
      </c>
      <c r="K80" s="38" t="str">
        <f>IF(N80&lt;0,"Imposto a pagar:","Imposto a restituir:")</f>
        <v>Imposto a restituir:</v>
      </c>
      <c r="L80" s="38"/>
      <c r="M80" s="38"/>
      <c r="N80" s="31">
        <f>N78+N79</f>
        <v>0</v>
      </c>
    </row>
    <row r="81" spans="2:14" x14ac:dyDescent="0.3">
      <c r="B81" s="38" t="s">
        <v>47</v>
      </c>
      <c r="C81" s="38"/>
      <c r="D81" s="38"/>
      <c r="E81" s="32">
        <f>IFERROR(-E78/E74,0)</f>
        <v>0</v>
      </c>
      <c r="K81" s="38" t="s">
        <v>47</v>
      </c>
      <c r="L81" s="38"/>
      <c r="M81" s="38"/>
      <c r="N81" s="32">
        <f>IFERROR(-N78/N74,0)</f>
        <v>0</v>
      </c>
    </row>
    <row r="82" spans="2:14" x14ac:dyDescent="0.3"/>
    <row r="84" spans="2:14" hidden="1" x14ac:dyDescent="0.3">
      <c r="E84" s="13"/>
    </row>
    <row r="85" spans="2:14" hidden="1" x14ac:dyDescent="0.3">
      <c r="E85" s="1"/>
    </row>
  </sheetData>
  <sheetProtection sheet="1" objects="1" scenarios="1"/>
  <mergeCells count="85">
    <mergeCell ref="B19:D19"/>
    <mergeCell ref="B20:D20"/>
    <mergeCell ref="K20:M20"/>
    <mergeCell ref="K22:M22"/>
    <mergeCell ref="K24:M24"/>
    <mergeCell ref="B22:D22"/>
    <mergeCell ref="B24:D24"/>
    <mergeCell ref="B29:D29"/>
    <mergeCell ref="K29:M29"/>
    <mergeCell ref="B27:D27"/>
    <mergeCell ref="K27:M27"/>
    <mergeCell ref="B38:D38"/>
    <mergeCell ref="K30:M30"/>
    <mergeCell ref="B35:D35"/>
    <mergeCell ref="B34:D34"/>
    <mergeCell ref="K34:M34"/>
    <mergeCell ref="K35:M35"/>
    <mergeCell ref="B30:D30"/>
    <mergeCell ref="B33:D33"/>
    <mergeCell ref="K33:M33"/>
    <mergeCell ref="B28:D28"/>
    <mergeCell ref="K28:M28"/>
    <mergeCell ref="B37:D37"/>
    <mergeCell ref="K52:M52"/>
    <mergeCell ref="K49:M49"/>
    <mergeCell ref="K50:M50"/>
    <mergeCell ref="K51:M51"/>
    <mergeCell ref="B40:D40"/>
    <mergeCell ref="K40:M40"/>
    <mergeCell ref="K37:M37"/>
    <mergeCell ref="K38:M38"/>
    <mergeCell ref="B46:D46"/>
    <mergeCell ref="B47:D47"/>
    <mergeCell ref="B48:D48"/>
    <mergeCell ref="K47:M47"/>
    <mergeCell ref="K48:M48"/>
    <mergeCell ref="K43:M43"/>
    <mergeCell ref="B63:D63"/>
    <mergeCell ref="K63:M63"/>
    <mergeCell ref="B23:D23"/>
    <mergeCell ref="B25:D25"/>
    <mergeCell ref="K23:M23"/>
    <mergeCell ref="K25:M25"/>
    <mergeCell ref="K46:M46"/>
    <mergeCell ref="B42:D42"/>
    <mergeCell ref="B44:D44"/>
    <mergeCell ref="K42:M42"/>
    <mergeCell ref="K44:M44"/>
    <mergeCell ref="B50:D50"/>
    <mergeCell ref="B49:D49"/>
    <mergeCell ref="B51:D51"/>
    <mergeCell ref="B43:D43"/>
    <mergeCell ref="B52:D52"/>
    <mergeCell ref="B81:D81"/>
    <mergeCell ref="B31:D31"/>
    <mergeCell ref="K31:M31"/>
    <mergeCell ref="K74:M74"/>
    <mergeCell ref="K75:M75"/>
    <mergeCell ref="K76:M76"/>
    <mergeCell ref="K78:M78"/>
    <mergeCell ref="K79:M79"/>
    <mergeCell ref="K80:M80"/>
    <mergeCell ref="K81:M81"/>
    <mergeCell ref="B75:D75"/>
    <mergeCell ref="B76:D76"/>
    <mergeCell ref="B78:D78"/>
    <mergeCell ref="B79:D79"/>
    <mergeCell ref="B80:D80"/>
    <mergeCell ref="K64:M64"/>
    <mergeCell ref="B77:D77"/>
    <mergeCell ref="K77:M77"/>
    <mergeCell ref="K65:M65"/>
    <mergeCell ref="K67:M67"/>
    <mergeCell ref="K68:M68"/>
    <mergeCell ref="K69:M69"/>
    <mergeCell ref="B74:D74"/>
    <mergeCell ref="B70:D70"/>
    <mergeCell ref="K70:M70"/>
    <mergeCell ref="B69:D69"/>
    <mergeCell ref="B64:D64"/>
    <mergeCell ref="B65:D65"/>
    <mergeCell ref="B67:D67"/>
    <mergeCell ref="B68:D68"/>
    <mergeCell ref="K66:M66"/>
    <mergeCell ref="B66:D66"/>
  </mergeCells>
  <conditionalFormatting sqref="B3 H3:H13 B4:I15 B16 B18">
    <cfRule type="expression" dxfId="5" priority="33">
      <formula>MOD(ROW(B3),2)=1</formula>
    </cfRule>
  </conditionalFormatting>
  <conditionalFormatting sqref="C3:I16">
    <cfRule type="expression" dxfId="4" priority="21">
      <formula>MOD(ROW(C3),2)=1</formula>
    </cfRule>
  </conditionalFormatting>
  <conditionalFormatting sqref="K3:N3 R3 L18">
    <cfRule type="expression" dxfId="3" priority="29">
      <formula>MOD(ROW(K3),2)=1</formula>
    </cfRule>
  </conditionalFormatting>
  <conditionalFormatting sqref="K4:R7 K8 K16">
    <cfRule type="expression" dxfId="2" priority="24">
      <formula>MOD(ROW(K4),2)=1</formula>
    </cfRule>
  </conditionalFormatting>
  <conditionalFormatting sqref="L3:R12 L15:R16">
    <cfRule type="expression" dxfId="1" priority="17">
      <formula>MOD(ROW(L3),2)=1</formula>
    </cfRule>
  </conditionalFormatting>
  <conditionalFormatting sqref="N3:N15 K9:R15">
    <cfRule type="expression" dxfId="0" priority="1">
      <formula>MOD(ROW(K3),2)=1</formula>
    </cfRule>
  </conditionalFormatting>
  <dataValidations count="3">
    <dataValidation type="list" allowBlank="1" showInputMessage="1" showErrorMessage="1" sqref="N42 E42 N34" xr:uid="{13333701-7059-4DE6-9C3B-7276E1ACD546}">
      <formula1>"0,1"</formula1>
    </dataValidation>
    <dataValidation type="whole" allowBlank="1" showInputMessage="1" showErrorMessage="1" sqref="E33" xr:uid="{A591E78B-E6D6-4772-8EAC-233C8CA4C9FB}">
      <formula1>0</formula1>
      <formula2>15</formula2>
    </dataValidation>
    <dataValidation type="whole" allowBlank="1" showInputMessage="1" showErrorMessage="1" sqref="E34" xr:uid="{29A20351-868C-47E2-8F01-AC609F780402}">
      <formula1>0</formula1>
      <formula2>E33</formula2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Modelo</vt:lpstr>
      <vt:lpstr>ap_1</vt:lpstr>
      <vt:lpstr>ap_2</vt:lpstr>
      <vt:lpstr>peso_imp</vt:lpstr>
      <vt:lpstr>peso_pgbl</vt:lpstr>
      <vt:lpstr>rest_tot</vt:lpstr>
    </vt:vector>
  </TitlesOfParts>
  <Company>eRandom</Company>
  <LinksUpToDate>false</LinksUpToDate>
  <SharedDoc>false</SharedDoc>
  <HyperlinkBase>https://erandom.com.br/nova-ferramenta-de-irpf/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Simulador de IR AC 2025</dc:title>
  <dc:creator>Victor Braga</dc:creator>
  <cp:lastModifiedBy>Victor Braga</cp:lastModifiedBy>
  <dcterms:created xsi:type="dcterms:W3CDTF">2020-11-08T17:36:00Z</dcterms:created>
  <dcterms:modified xsi:type="dcterms:W3CDTF">2025-12-05T02:40:57Z</dcterms:modified>
</cp:coreProperties>
</file>